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30" windowHeight="6525" activeTab="0"/>
  </bookViews>
  <sheets>
    <sheet name="ADOPTED" sheetId="1" r:id="rId1"/>
    <sheet name="NOVEMB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<sst xmlns="http://schemas.openxmlformats.org/spreadsheetml/2006/main" count="106" uniqueCount="68">
  <si>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t>(dollars in 000's)</t>
  </si>
  <si>
    <t>adopted</t>
  </si>
  <si>
    <t>estimate</t>
  </si>
  <si>
    <t>Revenues:</t>
  </si>
  <si>
    <t>Taxes:</t>
  </si>
  <si>
    <t>Tax Reduction Program</t>
  </si>
  <si>
    <t>StaR Reimbursement</t>
  </si>
  <si>
    <t>State Categorical Aid</t>
  </si>
  <si>
    <t>Federal Categorical Aid</t>
  </si>
  <si>
    <t>Expenditures:</t>
  </si>
  <si>
    <t>Health / Social Services:</t>
  </si>
  <si>
    <t>Education:</t>
  </si>
  <si>
    <t>Uniformed Services:</t>
  </si>
  <si>
    <t>Debt Service</t>
  </si>
  <si>
    <t>Labor Reserve</t>
  </si>
  <si>
    <t>All Other</t>
  </si>
  <si>
    <t xml:space="preserve">   Property</t>
  </si>
  <si>
    <t xml:space="preserve">   Personal Income</t>
  </si>
  <si>
    <t xml:space="preserve">   General Sales</t>
  </si>
  <si>
    <t xml:space="preserve">   Business Income:</t>
  </si>
  <si>
    <t xml:space="preserve">      General Corporation Tax</t>
  </si>
  <si>
    <t xml:space="preserve">      Unincorporated Business Tax</t>
  </si>
  <si>
    <t xml:space="preserve">      Banking Corporation Tax</t>
  </si>
  <si>
    <t xml:space="preserve">   Real-Estate Related:</t>
  </si>
  <si>
    <t xml:space="preserve">      Commercial Rent Tax</t>
  </si>
  <si>
    <t xml:space="preserve">      Real Property Transfer Tax</t>
  </si>
  <si>
    <t xml:space="preserve">      Mortgage Recording Tax</t>
  </si>
  <si>
    <t xml:space="preserve">          Total Taxes</t>
  </si>
  <si>
    <t xml:space="preserve">    Social Services</t>
  </si>
  <si>
    <t xml:space="preserve">    Admin. For Children's Services</t>
  </si>
  <si>
    <t xml:space="preserve">    Health / Mental Health</t>
  </si>
  <si>
    <t xml:space="preserve">    Health and Hospitals Corporation</t>
  </si>
  <si>
    <t xml:space="preserve">    Homeless Services</t>
  </si>
  <si>
    <t xml:space="preserve">    Board of Education</t>
  </si>
  <si>
    <t xml:space="preserve">    CUNY</t>
  </si>
  <si>
    <t xml:space="preserve">    Police</t>
  </si>
  <si>
    <t xml:space="preserve">    Fire</t>
  </si>
  <si>
    <t xml:space="preserve">    Corrections</t>
  </si>
  <si>
    <t xml:space="preserve">    Sanitation</t>
  </si>
  <si>
    <t>All Other Revenues:</t>
  </si>
  <si>
    <t xml:space="preserve">   Miscellaneous Revenues</t>
  </si>
  <si>
    <t xml:space="preserve">   Unrestricted Intergovernmental Aid</t>
  </si>
  <si>
    <t xml:space="preserve">   Other Categorical Grants</t>
  </si>
  <si>
    <t xml:space="preserve">   Inter-fund Revenues</t>
  </si>
  <si>
    <t xml:space="preserve">   Disallowances</t>
  </si>
  <si>
    <t xml:space="preserve">   Other Taxes (including audits &amp; PEG's)</t>
  </si>
  <si>
    <t>Adopted 2001 Financial Plan - June 30, 2000</t>
  </si>
  <si>
    <t>November 2001 Financial Plan - November 17, 2000</t>
  </si>
  <si>
    <t>nov. 17 plan</t>
  </si>
  <si>
    <t xml:space="preserve">   Social Services</t>
  </si>
  <si>
    <t xml:space="preserve">   Admin. For Children's Services</t>
  </si>
  <si>
    <t xml:space="preserve">   Health / Mental Health</t>
  </si>
  <si>
    <t xml:space="preserve">   Health and Hospitals Corporation</t>
  </si>
  <si>
    <t xml:space="preserve">   Homeless Services</t>
  </si>
  <si>
    <t xml:space="preserve">   Board of Education</t>
  </si>
  <si>
    <t xml:space="preserve">   CUNY</t>
  </si>
  <si>
    <t xml:space="preserve">   Police</t>
  </si>
  <si>
    <t xml:space="preserve">   Fire</t>
  </si>
  <si>
    <t xml:space="preserve">   Corrections</t>
  </si>
  <si>
    <t xml:space="preserve">   Sanitation</t>
  </si>
  <si>
    <t>Total Revenues</t>
  </si>
  <si>
    <t>Gap to be Closed</t>
  </si>
  <si>
    <t>Total Expenditures</t>
  </si>
  <si>
    <t>SOURCE:  November 17, 2000 - New York City Financial Plan 2001 - 2004</t>
  </si>
  <si>
    <t>NOTE:       Expenditures and miscellaneous revenues have been adjusted to exclude</t>
  </si>
  <si>
    <t xml:space="preserve">                  intra-city expenditures and revenues respectively.</t>
  </si>
  <si>
    <t xml:space="preserve"> Total Taxes</t>
  </si>
  <si>
    <t>SOURCE:  June 30, 2000 - New York City Financial Plan 2001 - 2004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</si>
</sst>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b/>
      <u val="doubleAccounting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166" fontId="0" fillId="0" borderId="0" xfId="17" applyNumberFormat="1" applyFont="1" applyBorder="1" applyAlignment="1">
      <alignment/>
    </xf>
    <xf numFmtId="166" fontId="0" fillId="0" borderId="6" xfId="17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6" fontId="1" fillId="0" borderId="0" xfId="17" applyNumberFormat="1" applyFont="1" applyBorder="1" applyAlignment="1">
      <alignment/>
    </xf>
    <xf numFmtId="166" fontId="1" fillId="0" borderId="6" xfId="17" applyNumberFormat="1" applyFont="1" applyBorder="1" applyAlignment="1">
      <alignment/>
    </xf>
    <xf numFmtId="0" fontId="4" fillId="0" borderId="5" xfId="0" applyFont="1" applyBorder="1" applyAlignment="1">
      <alignment/>
    </xf>
    <xf numFmtId="166" fontId="5" fillId="0" borderId="0" xfId="17" applyNumberFormat="1" applyFont="1" applyBorder="1" applyAlignment="1">
      <alignment/>
    </xf>
    <xf numFmtId="166" fontId="5" fillId="0" borderId="6" xfId="17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6" fontId="7" fillId="0" borderId="0" xfId="17" applyNumberFormat="1" applyFont="1" applyBorder="1" applyAlignment="1">
      <alignment/>
    </xf>
    <xf numFmtId="166" fontId="8" fillId="0" borderId="0" xfId="17" applyNumberFormat="1" applyFont="1" applyBorder="1" applyAlignment="1">
      <alignment/>
    </xf>
    <xf numFmtId="166" fontId="7" fillId="0" borderId="6" xfId="17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164" fontId="6" fillId="0" borderId="6" xfId="15" applyNumberFormat="1" applyFont="1" applyBorder="1" applyAlignment="1">
      <alignment/>
    </xf>
    <xf numFmtId="166" fontId="8" fillId="0" borderId="6" xfId="17" applyNumberFormat="1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5">
      <selection activeCell="G78" sqref="G78"/>
    </sheetView>
  </sheetViews>
  <sheetFormatPr defaultColWidth="9.140625" defaultRowHeight="12.75"/>
  <cols>
    <col min="1" max="1" width="36.7109375" style="1" customWidth="1"/>
    <col min="2" max="2" width="0.85546875" style="1" customWidth="1"/>
    <col min="3" max="6" width="12.7109375" style="1" customWidth="1"/>
    <col min="7" max="7" width="11.140625" style="1" customWidth="1"/>
    <col min="8" max="16384" width="8.8515625" style="1" customWidth="1"/>
  </cols>
  <sheetData>
    <row r="1" spans="1:6" ht="12.75">
      <c r="A1" s="5" t="s">
        <v>46</v>
      </c>
      <c r="B1" s="6"/>
      <c r="C1" s="6"/>
      <c r="D1" s="6"/>
      <c r="E1" s="6"/>
      <c r="F1" s="7"/>
    </row>
    <row r="2" spans="1:6" ht="12.75">
      <c r="A2" s="23" t="s">
        <v>0</v>
      </c>
      <c r="B2" s="4"/>
      <c r="C2" s="4"/>
      <c r="D2" s="4"/>
      <c r="E2" s="4"/>
      <c r="F2" s="19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11" t="s">
        <v>1</v>
      </c>
      <c r="D4" s="33" t="s">
        <v>2</v>
      </c>
      <c r="E4" s="33"/>
      <c r="F4" s="34"/>
    </row>
    <row r="5" spans="1:6" ht="12.75">
      <c r="A5" s="23"/>
      <c r="B5" s="4"/>
      <c r="C5" s="2">
        <v>2001</v>
      </c>
      <c r="D5" s="2">
        <v>2002</v>
      </c>
      <c r="E5" s="2">
        <v>2003</v>
      </c>
      <c r="F5" s="12">
        <v>2004</v>
      </c>
    </row>
    <row r="6" spans="1:6" ht="12.75">
      <c r="A6" s="13" t="s">
        <v>3</v>
      </c>
      <c r="B6" s="9"/>
      <c r="C6" s="9"/>
      <c r="D6" s="9"/>
      <c r="E6" s="9"/>
      <c r="F6" s="10"/>
    </row>
    <row r="7" spans="1:6" ht="12.75">
      <c r="A7" s="8" t="s">
        <v>4</v>
      </c>
      <c r="B7" s="9"/>
      <c r="C7" s="9"/>
      <c r="D7" s="9"/>
      <c r="E7" s="9"/>
      <c r="F7" s="10"/>
    </row>
    <row r="8" spans="1:6" ht="12.75">
      <c r="A8" s="8" t="s">
        <v>16</v>
      </c>
      <c r="B8" s="9"/>
      <c r="C8" s="14">
        <v>8022368</v>
      </c>
      <c r="D8" s="14">
        <v>8467000</v>
      </c>
      <c r="E8" s="14">
        <v>8916000</v>
      </c>
      <c r="F8" s="15">
        <v>9365000</v>
      </c>
    </row>
    <row r="9" spans="1:6" ht="12.75">
      <c r="A9" s="8" t="s">
        <v>17</v>
      </c>
      <c r="B9" s="9"/>
      <c r="C9" s="16">
        <f>4838728</f>
        <v>4838728</v>
      </c>
      <c r="D9" s="16">
        <v>4705133</v>
      </c>
      <c r="E9" s="16">
        <v>4922492</v>
      </c>
      <c r="F9" s="17">
        <v>5112859</v>
      </c>
    </row>
    <row r="10" spans="1:6" ht="12.75">
      <c r="A10" s="8" t="s">
        <v>18</v>
      </c>
      <c r="B10" s="9"/>
      <c r="C10" s="16">
        <v>3364000</v>
      </c>
      <c r="D10" s="16">
        <v>3445000</v>
      </c>
      <c r="E10" s="16">
        <v>3558000</v>
      </c>
      <c r="F10" s="17">
        <v>3671000</v>
      </c>
    </row>
    <row r="11" spans="1:6" ht="12.75">
      <c r="A11" s="8" t="s">
        <v>19</v>
      </c>
      <c r="B11" s="9"/>
      <c r="C11" s="16"/>
      <c r="D11" s="16"/>
      <c r="E11" s="16"/>
      <c r="F11" s="17"/>
    </row>
    <row r="12" spans="1:6" ht="12.75">
      <c r="A12" s="8" t="s">
        <v>20</v>
      </c>
      <c r="B12" s="9"/>
      <c r="C12" s="16">
        <v>1498000</v>
      </c>
      <c r="D12" s="16">
        <v>1418000</v>
      </c>
      <c r="E12" s="16">
        <v>1468000</v>
      </c>
      <c r="F12" s="17">
        <v>1492000</v>
      </c>
    </row>
    <row r="13" spans="1:6" ht="12.75">
      <c r="A13" s="8" t="s">
        <v>21</v>
      </c>
      <c r="B13" s="9"/>
      <c r="C13" s="16">
        <v>745000</v>
      </c>
      <c r="D13" s="16">
        <v>745000</v>
      </c>
      <c r="E13" s="16">
        <v>795000</v>
      </c>
      <c r="F13" s="17">
        <v>851000</v>
      </c>
    </row>
    <row r="14" spans="1:6" ht="12.75">
      <c r="A14" s="8" t="s">
        <v>22</v>
      </c>
      <c r="B14" s="9"/>
      <c r="C14" s="16">
        <v>398000</v>
      </c>
      <c r="D14" s="16">
        <v>418000</v>
      </c>
      <c r="E14" s="16">
        <v>430000</v>
      </c>
      <c r="F14" s="17">
        <v>449000</v>
      </c>
    </row>
    <row r="15" spans="1:6" ht="12.75">
      <c r="A15" s="8" t="s">
        <v>23</v>
      </c>
      <c r="B15" s="9"/>
      <c r="C15" s="16"/>
      <c r="D15" s="16"/>
      <c r="E15" s="16"/>
      <c r="F15" s="17"/>
    </row>
    <row r="16" spans="1:6" ht="12.75">
      <c r="A16" s="8" t="s">
        <v>24</v>
      </c>
      <c r="B16" s="9"/>
      <c r="C16" s="16">
        <v>351000</v>
      </c>
      <c r="D16" s="16">
        <v>370000</v>
      </c>
      <c r="E16" s="16">
        <v>390000</v>
      </c>
      <c r="F16" s="17">
        <v>411000</v>
      </c>
    </row>
    <row r="17" spans="1:6" ht="12.75">
      <c r="A17" s="8" t="s">
        <v>25</v>
      </c>
      <c r="B17" s="9"/>
      <c r="C17" s="16">
        <v>461000</v>
      </c>
      <c r="D17" s="16">
        <v>459000</v>
      </c>
      <c r="E17" s="16">
        <v>506000</v>
      </c>
      <c r="F17" s="17">
        <v>542000</v>
      </c>
    </row>
    <row r="18" spans="1:7" ht="12.75">
      <c r="A18" s="8" t="s">
        <v>26</v>
      </c>
      <c r="B18" s="9"/>
      <c r="C18" s="16">
        <v>364000</v>
      </c>
      <c r="D18" s="16">
        <v>356000</v>
      </c>
      <c r="E18" s="16">
        <v>392000</v>
      </c>
      <c r="F18" s="17">
        <v>417000</v>
      </c>
      <c r="G18" s="3"/>
    </row>
    <row r="19" spans="1:6" ht="15">
      <c r="A19" s="8" t="s">
        <v>45</v>
      </c>
      <c r="B19" s="9"/>
      <c r="C19" s="24">
        <v>1357235</v>
      </c>
      <c r="D19" s="24">
        <v>1382735</v>
      </c>
      <c r="E19" s="24">
        <v>1396435</v>
      </c>
      <c r="F19" s="25">
        <v>1414335</v>
      </c>
    </row>
    <row r="20" spans="1:6" ht="12.75">
      <c r="A20" s="40" t="s">
        <v>66</v>
      </c>
      <c r="B20" s="9"/>
      <c r="C20" s="16">
        <f>SUM(C8:C19)</f>
        <v>21399331</v>
      </c>
      <c r="D20" s="16">
        <f>SUM(D8:D19)</f>
        <v>21765868</v>
      </c>
      <c r="E20" s="16">
        <f>SUM(E8:E19)</f>
        <v>22773927</v>
      </c>
      <c r="F20" s="17">
        <f>SUM(F8:F19)</f>
        <v>23725194</v>
      </c>
    </row>
    <row r="21" spans="1:6" ht="12.75" customHeight="1">
      <c r="A21" s="8"/>
      <c r="B21" s="9"/>
      <c r="C21" s="16"/>
      <c r="D21" s="16"/>
      <c r="E21" s="16"/>
      <c r="F21" s="17"/>
    </row>
    <row r="22" spans="1:6" ht="12.75">
      <c r="A22" s="8" t="s">
        <v>5</v>
      </c>
      <c r="B22" s="9"/>
      <c r="C22" s="16">
        <v>-418000</v>
      </c>
      <c r="D22" s="16">
        <v>-735000</v>
      </c>
      <c r="E22" s="16">
        <v>-877000</v>
      </c>
      <c r="F22" s="17">
        <v>-1137000</v>
      </c>
    </row>
    <row r="23" spans="1:6" ht="12.75">
      <c r="A23" s="8"/>
      <c r="B23" s="9"/>
      <c r="C23" s="16"/>
      <c r="D23" s="16"/>
      <c r="E23" s="16"/>
      <c r="F23" s="17"/>
    </row>
    <row r="24" spans="1:6" ht="12.75">
      <c r="A24" s="8" t="s">
        <v>6</v>
      </c>
      <c r="B24" s="9"/>
      <c r="C24" s="16">
        <v>489900</v>
      </c>
      <c r="D24" s="16">
        <v>701000</v>
      </c>
      <c r="E24" s="16">
        <v>726000</v>
      </c>
      <c r="F24" s="17">
        <v>750000</v>
      </c>
    </row>
    <row r="25" spans="1:6" ht="12.75">
      <c r="A25" s="8"/>
      <c r="B25" s="9"/>
      <c r="C25" s="16"/>
      <c r="D25" s="16"/>
      <c r="E25" s="16"/>
      <c r="F25" s="17"/>
    </row>
    <row r="26" spans="1:6" ht="12.75">
      <c r="A26" s="8" t="s">
        <v>39</v>
      </c>
      <c r="B26" s="9"/>
      <c r="C26" s="16"/>
      <c r="D26" s="16"/>
      <c r="E26" s="16"/>
      <c r="F26" s="17"/>
    </row>
    <row r="27" spans="1:6" ht="12.75">
      <c r="A27" s="8" t="s">
        <v>40</v>
      </c>
      <c r="B27" s="9"/>
      <c r="C27" s="16">
        <v>3095462</v>
      </c>
      <c r="D27" s="16">
        <v>2972154</v>
      </c>
      <c r="E27" s="16">
        <v>2777953</v>
      </c>
      <c r="F27" s="17">
        <v>2682879</v>
      </c>
    </row>
    <row r="28" spans="1:6" ht="12.75">
      <c r="A28" s="8" t="s">
        <v>41</v>
      </c>
      <c r="B28" s="9"/>
      <c r="C28" s="16">
        <v>564323</v>
      </c>
      <c r="D28" s="16">
        <v>564323</v>
      </c>
      <c r="E28" s="16">
        <v>564323</v>
      </c>
      <c r="F28" s="17">
        <v>564323</v>
      </c>
    </row>
    <row r="29" spans="1:6" ht="12.75">
      <c r="A29" s="8" t="s">
        <v>42</v>
      </c>
      <c r="B29" s="9"/>
      <c r="C29" s="16">
        <v>353961</v>
      </c>
      <c r="D29" s="16">
        <v>364191</v>
      </c>
      <c r="E29" s="16">
        <v>356538</v>
      </c>
      <c r="F29" s="17">
        <v>347344</v>
      </c>
    </row>
    <row r="30" spans="1:6" ht="12.75">
      <c r="A30" s="8" t="s">
        <v>43</v>
      </c>
      <c r="B30" s="9"/>
      <c r="C30" s="16">
        <v>289610</v>
      </c>
      <c r="D30" s="16">
        <v>284472</v>
      </c>
      <c r="E30" s="16">
        <v>284472</v>
      </c>
      <c r="F30" s="17">
        <v>284472</v>
      </c>
    </row>
    <row r="31" spans="1:6" ht="12.75">
      <c r="A31" s="8" t="s">
        <v>44</v>
      </c>
      <c r="B31" s="9"/>
      <c r="C31" s="16">
        <v>-15000</v>
      </c>
      <c r="D31" s="16">
        <v>-15000</v>
      </c>
      <c r="E31" s="16">
        <v>-15000</v>
      </c>
      <c r="F31" s="17">
        <v>-15000</v>
      </c>
    </row>
    <row r="32" spans="1:6" ht="12.75" customHeight="1">
      <c r="A32" s="8"/>
      <c r="B32" s="9"/>
      <c r="C32" s="16"/>
      <c r="D32" s="16"/>
      <c r="E32" s="16"/>
      <c r="F32" s="17"/>
    </row>
    <row r="33" spans="1:6" ht="12.75">
      <c r="A33" s="8" t="s">
        <v>7</v>
      </c>
      <c r="B33" s="9"/>
      <c r="C33" s="16">
        <v>7531982</v>
      </c>
      <c r="D33" s="16">
        <v>7624689</v>
      </c>
      <c r="E33" s="16">
        <v>7676168</v>
      </c>
      <c r="F33" s="17">
        <v>7696970</v>
      </c>
    </row>
    <row r="34" spans="1:6" ht="12.75">
      <c r="A34" s="8" t="s">
        <v>8</v>
      </c>
      <c r="B34" s="9"/>
      <c r="C34" s="35">
        <v>4322228</v>
      </c>
      <c r="D34" s="35">
        <v>3957639</v>
      </c>
      <c r="E34" s="35">
        <v>3902351</v>
      </c>
      <c r="F34" s="41">
        <v>3889642</v>
      </c>
    </row>
    <row r="35" spans="1:6" ht="12.75" customHeight="1">
      <c r="A35" s="8"/>
      <c r="B35" s="9"/>
      <c r="C35" s="16"/>
      <c r="D35" s="16"/>
      <c r="E35" s="16"/>
      <c r="F35" s="17"/>
    </row>
    <row r="36" spans="1:6" ht="12.75">
      <c r="A36" s="18" t="s">
        <v>60</v>
      </c>
      <c r="B36" s="9"/>
      <c r="C36" s="26">
        <f>SUM(C20:C34)</f>
        <v>37613797</v>
      </c>
      <c r="D36" s="26">
        <f>SUM(D20:D34)</f>
        <v>37484336</v>
      </c>
      <c r="E36" s="26">
        <f>SUM(E20:E34)</f>
        <v>38169732</v>
      </c>
      <c r="F36" s="27">
        <f>SUM(F20:F34)</f>
        <v>38788824</v>
      </c>
    </row>
    <row r="37" spans="1:6" ht="12.75">
      <c r="A37" s="8"/>
      <c r="B37" s="9"/>
      <c r="C37" s="9"/>
      <c r="D37" s="9"/>
      <c r="E37" s="9"/>
      <c r="F37" s="10"/>
    </row>
    <row r="38" spans="1:6" ht="12.75">
      <c r="A38" s="18" t="s">
        <v>9</v>
      </c>
      <c r="B38" s="9"/>
      <c r="C38" s="9"/>
      <c r="D38" s="9"/>
      <c r="E38" s="9"/>
      <c r="F38" s="10"/>
    </row>
    <row r="39" spans="1:6" ht="12.75">
      <c r="A39" s="8" t="s">
        <v>10</v>
      </c>
      <c r="B39" s="9"/>
      <c r="C39" s="16"/>
      <c r="D39" s="16"/>
      <c r="E39" s="16"/>
      <c r="F39" s="17"/>
    </row>
    <row r="40" spans="1:6" ht="12.75">
      <c r="A40" s="8" t="s">
        <v>28</v>
      </c>
      <c r="B40" s="9"/>
      <c r="C40" s="14">
        <f>5397608-75</f>
        <v>5397533</v>
      </c>
      <c r="D40" s="14">
        <f>5458639-75</f>
        <v>5458564</v>
      </c>
      <c r="E40" s="14">
        <f>5547372-75</f>
        <v>5547297</v>
      </c>
      <c r="F40" s="15">
        <f>5718558-75</f>
        <v>5718483</v>
      </c>
    </row>
    <row r="41" spans="1:6" ht="12.75">
      <c r="A41" s="8" t="s">
        <v>29</v>
      </c>
      <c r="B41" s="9"/>
      <c r="C41" s="16">
        <f>2233219-137</f>
        <v>2233082</v>
      </c>
      <c r="D41" s="16">
        <f>2215024-137</f>
        <v>2214887</v>
      </c>
      <c r="E41" s="16">
        <f>2240802-137</f>
        <v>2240665</v>
      </c>
      <c r="F41" s="17">
        <f>2242327-137</f>
        <v>2242190</v>
      </c>
    </row>
    <row r="42" spans="1:6" ht="12.75">
      <c r="A42" s="8" t="s">
        <v>30</v>
      </c>
      <c r="B42" s="9"/>
      <c r="C42" s="16">
        <f>850582-612+549515-272020</f>
        <v>1127465</v>
      </c>
      <c r="D42" s="16">
        <f>831612-612+533730-299867</f>
        <v>1064863</v>
      </c>
      <c r="E42" s="16">
        <f>832032-612+533730-299867</f>
        <v>1065283</v>
      </c>
      <c r="F42" s="17">
        <f>832454-612+533730-299867</f>
        <v>1065705</v>
      </c>
    </row>
    <row r="43" spans="1:6" ht="12.75">
      <c r="A43" s="8" t="s">
        <v>31</v>
      </c>
      <c r="B43" s="9"/>
      <c r="C43" s="16">
        <f>793922-78914</f>
        <v>715008</v>
      </c>
      <c r="D43" s="16">
        <f>814266-78914</f>
        <v>735352</v>
      </c>
      <c r="E43" s="16">
        <f>834112-78914</f>
        <v>755198</v>
      </c>
      <c r="F43" s="17">
        <f>855575-78914</f>
        <v>776661</v>
      </c>
    </row>
    <row r="44" spans="1:6" ht="12.75">
      <c r="A44" s="8" t="s">
        <v>32</v>
      </c>
      <c r="B44" s="9"/>
      <c r="C44" s="16">
        <v>448754</v>
      </c>
      <c r="D44" s="16">
        <v>448636</v>
      </c>
      <c r="E44" s="16">
        <v>449431</v>
      </c>
      <c r="F44" s="17">
        <v>449431</v>
      </c>
    </row>
    <row r="45" spans="1:6" ht="12.75">
      <c r="A45" s="18"/>
      <c r="B45" s="9"/>
      <c r="C45" s="16"/>
      <c r="D45" s="16"/>
      <c r="E45" s="16"/>
      <c r="F45" s="17"/>
    </row>
    <row r="46" spans="1:6" ht="12.75">
      <c r="A46" s="8" t="s">
        <v>11</v>
      </c>
      <c r="B46" s="9"/>
      <c r="C46" s="16"/>
      <c r="D46" s="16"/>
      <c r="E46" s="16"/>
      <c r="F46" s="17"/>
    </row>
    <row r="47" spans="1:6" ht="12.75">
      <c r="A47" s="8" t="s">
        <v>33</v>
      </c>
      <c r="B47" s="9"/>
      <c r="C47" s="16">
        <f>10980015-7497</f>
        <v>10972518</v>
      </c>
      <c r="D47" s="16">
        <f>11036935-7497</f>
        <v>11029438</v>
      </c>
      <c r="E47" s="16">
        <f>11132500-7497</f>
        <v>11125003</v>
      </c>
      <c r="F47" s="17">
        <f>11197149-7497</f>
        <v>11189652</v>
      </c>
    </row>
    <row r="48" spans="1:6" ht="12.75">
      <c r="A48" s="8" t="s">
        <v>34</v>
      </c>
      <c r="B48" s="9"/>
      <c r="C48" s="16">
        <f>435843-9661</f>
        <v>426182</v>
      </c>
      <c r="D48" s="16">
        <f>436348-9661</f>
        <v>426687</v>
      </c>
      <c r="E48" s="16">
        <f>436467-9661</f>
        <v>426806</v>
      </c>
      <c r="F48" s="17">
        <f>436467-9661</f>
        <v>426806</v>
      </c>
    </row>
    <row r="49" spans="1:6" ht="12.75" customHeight="1">
      <c r="A49" s="8"/>
      <c r="B49" s="9"/>
      <c r="C49" s="16"/>
      <c r="D49" s="16"/>
      <c r="E49" s="16"/>
      <c r="F49" s="17"/>
    </row>
    <row r="50" spans="1:6" ht="12.75">
      <c r="A50" s="8" t="s">
        <v>12</v>
      </c>
      <c r="B50" s="9"/>
      <c r="C50" s="16"/>
      <c r="D50" s="16"/>
      <c r="E50" s="16"/>
      <c r="F50" s="17"/>
    </row>
    <row r="51" spans="1:6" ht="12.75">
      <c r="A51" s="8" t="s">
        <v>35</v>
      </c>
      <c r="B51" s="9"/>
      <c r="C51" s="16">
        <f>3166293-88785</f>
        <v>3077508</v>
      </c>
      <c r="D51" s="16">
        <f>3122590-88785</f>
        <v>3033805</v>
      </c>
      <c r="E51" s="16">
        <f>3106844-44437</f>
        <v>3062407</v>
      </c>
      <c r="F51" s="17">
        <f>3082832-88</f>
        <v>3082744</v>
      </c>
    </row>
    <row r="52" spans="1:6" ht="12.75">
      <c r="A52" s="8" t="s">
        <v>36</v>
      </c>
      <c r="B52" s="9"/>
      <c r="C52" s="16">
        <v>1065661</v>
      </c>
      <c r="D52" s="16">
        <v>1064894</v>
      </c>
      <c r="E52" s="16">
        <v>1064690</v>
      </c>
      <c r="F52" s="17">
        <v>1064690</v>
      </c>
    </row>
    <row r="53" spans="1:6" ht="12.75">
      <c r="A53" s="8" t="s">
        <v>37</v>
      </c>
      <c r="B53" s="9"/>
      <c r="C53" s="16">
        <f>865464-755</f>
        <v>864709</v>
      </c>
      <c r="D53" s="16">
        <f>893056-755</f>
        <v>892301</v>
      </c>
      <c r="E53" s="16">
        <f>892814-755</f>
        <v>892059</v>
      </c>
      <c r="F53" s="17">
        <f>892832-755</f>
        <v>892077</v>
      </c>
    </row>
    <row r="54" spans="1:6" ht="12.75">
      <c r="A54" s="8" t="s">
        <v>38</v>
      </c>
      <c r="B54" s="9"/>
      <c r="C54" s="16">
        <f>979181-6525</f>
        <v>972656</v>
      </c>
      <c r="D54" s="16">
        <f>1009683-6525</f>
        <v>1003158</v>
      </c>
      <c r="E54" s="16">
        <f>1021823-6525</f>
        <v>1015298</v>
      </c>
      <c r="F54" s="17">
        <f>1021648-6525</f>
        <v>1015123</v>
      </c>
    </row>
    <row r="55" spans="1:6" ht="12.75">
      <c r="A55" s="8"/>
      <c r="B55" s="9"/>
      <c r="C55" s="16"/>
      <c r="D55" s="16"/>
      <c r="E55" s="16"/>
      <c r="F55" s="17"/>
    </row>
    <row r="56" spans="1:6" ht="12.75">
      <c r="A56" s="8" t="s">
        <v>13</v>
      </c>
      <c r="B56" s="9"/>
      <c r="C56" s="16">
        <f>1277245</f>
        <v>1277245</v>
      </c>
      <c r="D56" s="16">
        <f>2645446+487900</f>
        <v>3133346</v>
      </c>
      <c r="E56" s="16">
        <f>2889040+490300</f>
        <v>3379340</v>
      </c>
      <c r="F56" s="17">
        <f>3367389+489200</f>
        <v>3856589</v>
      </c>
    </row>
    <row r="57" spans="1:6" ht="12.75" customHeight="1">
      <c r="A57" s="8"/>
      <c r="B57" s="9"/>
      <c r="C57" s="16"/>
      <c r="D57" s="16"/>
      <c r="E57" s="16"/>
      <c r="F57" s="17"/>
    </row>
    <row r="58" spans="1:6" ht="12.75">
      <c r="A58" s="8" t="s">
        <v>14</v>
      </c>
      <c r="B58" s="9"/>
      <c r="C58" s="16">
        <v>153840</v>
      </c>
      <c r="D58" s="16">
        <v>557898</v>
      </c>
      <c r="E58" s="16">
        <v>593482</v>
      </c>
      <c r="F58" s="17">
        <v>573482</v>
      </c>
    </row>
    <row r="59" spans="1:6" ht="12.75">
      <c r="A59" s="8"/>
      <c r="B59" s="9"/>
      <c r="C59" s="16"/>
      <c r="D59" s="16"/>
      <c r="E59" s="16"/>
      <c r="F59" s="17"/>
    </row>
    <row r="60" spans="1:6" ht="15">
      <c r="A60" s="8" t="s">
        <v>15</v>
      </c>
      <c r="B60" s="9"/>
      <c r="C60" s="24">
        <f>8881639-3</f>
        <v>8881636</v>
      </c>
      <c r="D60" s="24">
        <v>9056864</v>
      </c>
      <c r="E60" s="24">
        <v>9256362</v>
      </c>
      <c r="F60" s="25">
        <v>9108057</v>
      </c>
    </row>
    <row r="61" spans="1:6" ht="12.75" customHeight="1">
      <c r="A61" s="8"/>
      <c r="B61" s="9"/>
      <c r="C61" s="16"/>
      <c r="D61" s="16"/>
      <c r="E61" s="16"/>
      <c r="F61" s="17"/>
    </row>
    <row r="62" spans="1:6" ht="12.75">
      <c r="A62" s="18" t="s">
        <v>62</v>
      </c>
      <c r="B62" s="9"/>
      <c r="C62" s="38">
        <f>SUM(C40:C60)</f>
        <v>37613797</v>
      </c>
      <c r="D62" s="38">
        <f>SUM(D40:D60)</f>
        <v>40120693</v>
      </c>
      <c r="E62" s="38">
        <f>SUM(E40:E60)</f>
        <v>40873321</v>
      </c>
      <c r="F62" s="42">
        <f>SUM(F40:F60)</f>
        <v>41461690</v>
      </c>
    </row>
    <row r="63" spans="1:6" ht="12.75">
      <c r="A63" s="8"/>
      <c r="B63" s="9"/>
      <c r="C63" s="36"/>
      <c r="D63" s="36"/>
      <c r="E63" s="36"/>
      <c r="F63" s="43"/>
    </row>
    <row r="64" spans="1:6" ht="12.75">
      <c r="A64" s="8"/>
      <c r="B64" s="9"/>
      <c r="C64" s="36"/>
      <c r="D64" s="36"/>
      <c r="E64" s="36"/>
      <c r="F64" s="43"/>
    </row>
    <row r="65" spans="1:6" ht="15">
      <c r="A65" s="18" t="s">
        <v>61</v>
      </c>
      <c r="B65" s="9"/>
      <c r="C65" s="37">
        <f>(C36-C62)</f>
        <v>0</v>
      </c>
      <c r="D65" s="37">
        <f>(D36-D62)</f>
        <v>-2636357</v>
      </c>
      <c r="E65" s="37">
        <f>(E36-E62)</f>
        <v>-2703589</v>
      </c>
      <c r="F65" s="39">
        <f>(F36-F62)</f>
        <v>-2672866</v>
      </c>
    </row>
    <row r="66" spans="1:6" ht="12.75">
      <c r="A66" s="8"/>
      <c r="B66" s="9"/>
      <c r="C66" s="9"/>
      <c r="D66" s="9"/>
      <c r="E66" s="9"/>
      <c r="F66" s="10"/>
    </row>
    <row r="67" spans="1:6" ht="12.75">
      <c r="A67" s="23"/>
      <c r="B67" s="4"/>
      <c r="C67" s="4"/>
      <c r="D67" s="4"/>
      <c r="E67" s="4"/>
      <c r="F67" s="19"/>
    </row>
    <row r="68" spans="1:6" ht="12.75">
      <c r="A68" s="8"/>
      <c r="B68" s="9"/>
      <c r="C68" s="9"/>
      <c r="D68" s="9"/>
      <c r="E68" s="9"/>
      <c r="F68" s="10"/>
    </row>
    <row r="69" spans="1:6" ht="12.75">
      <c r="A69" s="8" t="s">
        <v>67</v>
      </c>
      <c r="B69" s="9"/>
      <c r="C69" s="9"/>
      <c r="D69" s="9"/>
      <c r="E69" s="9"/>
      <c r="F69" s="10"/>
    </row>
    <row r="70" spans="1:6" ht="12.75">
      <c r="A70" s="8" t="s">
        <v>64</v>
      </c>
      <c r="B70" s="9"/>
      <c r="C70" s="9"/>
      <c r="D70" s="9"/>
      <c r="E70" s="9"/>
      <c r="F70" s="10"/>
    </row>
    <row r="71" spans="1:6" ht="13.5" thickBot="1">
      <c r="A71" s="20" t="s">
        <v>65</v>
      </c>
      <c r="B71" s="21"/>
      <c r="C71" s="21"/>
      <c r="D71" s="21"/>
      <c r="E71" s="21"/>
      <c r="F71" s="22"/>
    </row>
  </sheetData>
  <mergeCells count="1">
    <mergeCell ref="D4:F4"/>
  </mergeCells>
  <printOptions/>
  <pageMargins left="0.75" right="0.75" top="1" bottom="1" header="0.5" footer="0.5"/>
  <pageSetup fitToHeight="1" fitToWidth="1" horizontalDpi="300" verticalDpi="3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45">
      <selection activeCell="A69" sqref="A69:A71"/>
    </sheetView>
  </sheetViews>
  <sheetFormatPr defaultColWidth="9.140625" defaultRowHeight="12.75"/>
  <cols>
    <col min="1" max="1" width="36.7109375" style="1" customWidth="1"/>
    <col min="2" max="2" width="0.85546875" style="1" customWidth="1"/>
    <col min="3" max="6" width="12.7109375" style="1" customWidth="1"/>
    <col min="7" max="7" width="11.140625" style="1" customWidth="1"/>
    <col min="8" max="16384" width="8.8515625" style="1" customWidth="1"/>
  </cols>
  <sheetData>
    <row r="1" spans="1:6" ht="12.75">
      <c r="A1" s="5" t="s">
        <v>47</v>
      </c>
      <c r="B1" s="6"/>
      <c r="C1" s="6"/>
      <c r="D1" s="6"/>
      <c r="E1" s="6"/>
      <c r="F1" s="7"/>
    </row>
    <row r="2" spans="1:6" ht="12.75">
      <c r="A2" s="23" t="s">
        <v>0</v>
      </c>
      <c r="B2" s="4"/>
      <c r="C2" s="4"/>
      <c r="D2" s="4"/>
      <c r="E2" s="4"/>
      <c r="F2" s="19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11" t="s">
        <v>48</v>
      </c>
      <c r="D4" s="33" t="s">
        <v>2</v>
      </c>
      <c r="E4" s="33"/>
      <c r="F4" s="34"/>
    </row>
    <row r="5" spans="1:6" ht="12.75">
      <c r="A5" s="23"/>
      <c r="B5" s="4"/>
      <c r="C5" s="2">
        <v>2001</v>
      </c>
      <c r="D5" s="2">
        <v>2002</v>
      </c>
      <c r="E5" s="2">
        <v>2003</v>
      </c>
      <c r="F5" s="12">
        <v>2004</v>
      </c>
    </row>
    <row r="6" spans="1:6" ht="12.75">
      <c r="A6" s="13" t="s">
        <v>3</v>
      </c>
      <c r="B6" s="9"/>
      <c r="C6" s="9"/>
      <c r="D6" s="9"/>
      <c r="E6" s="9"/>
      <c r="F6" s="10"/>
    </row>
    <row r="7" spans="1:6" ht="12.75">
      <c r="A7" s="8" t="s">
        <v>4</v>
      </c>
      <c r="B7" s="9"/>
      <c r="C7" s="9"/>
      <c r="D7" s="9"/>
      <c r="E7" s="9"/>
      <c r="F7" s="10"/>
    </row>
    <row r="8" spans="1:6" ht="12.75">
      <c r="A8" s="8" t="s">
        <v>16</v>
      </c>
      <c r="B8" s="9"/>
      <c r="C8" s="14">
        <v>8062000</v>
      </c>
      <c r="D8" s="14">
        <v>8467000</v>
      </c>
      <c r="E8" s="14">
        <v>8916000</v>
      </c>
      <c r="F8" s="15">
        <v>9365000</v>
      </c>
    </row>
    <row r="9" spans="1:6" ht="12.75">
      <c r="A9" s="8" t="s">
        <v>17</v>
      </c>
      <c r="B9" s="9"/>
      <c r="C9" s="16">
        <v>5014173</v>
      </c>
      <c r="D9" s="16">
        <v>4729182</v>
      </c>
      <c r="E9" s="16">
        <v>4963153</v>
      </c>
      <c r="F9" s="17">
        <v>5167990</v>
      </c>
    </row>
    <row r="10" spans="1:6" ht="12.75">
      <c r="A10" s="8" t="s">
        <v>18</v>
      </c>
      <c r="B10" s="9"/>
      <c r="C10" s="16">
        <v>3456000</v>
      </c>
      <c r="D10" s="16">
        <v>3445000</v>
      </c>
      <c r="E10" s="16">
        <v>3558000</v>
      </c>
      <c r="F10" s="17">
        <v>3671000</v>
      </c>
    </row>
    <row r="11" spans="1:6" ht="12.75">
      <c r="A11" s="8" t="s">
        <v>19</v>
      </c>
      <c r="B11" s="9"/>
      <c r="C11" s="16"/>
      <c r="D11" s="16"/>
      <c r="E11" s="16"/>
      <c r="F11" s="17"/>
    </row>
    <row r="12" spans="1:6" ht="12.75">
      <c r="A12" s="8" t="s">
        <v>20</v>
      </c>
      <c r="B12" s="9"/>
      <c r="C12" s="16">
        <v>1608000</v>
      </c>
      <c r="D12" s="16">
        <v>1418000</v>
      </c>
      <c r="E12" s="16">
        <v>1468000</v>
      </c>
      <c r="F12" s="17">
        <v>1492000</v>
      </c>
    </row>
    <row r="13" spans="1:6" ht="12.75">
      <c r="A13" s="8" t="s">
        <v>21</v>
      </c>
      <c r="B13" s="9"/>
      <c r="C13" s="16">
        <v>765000</v>
      </c>
      <c r="D13" s="16">
        <v>745000</v>
      </c>
      <c r="E13" s="16">
        <v>795000</v>
      </c>
      <c r="F13" s="17">
        <v>851000</v>
      </c>
    </row>
    <row r="14" spans="1:6" ht="12.75">
      <c r="A14" s="8" t="s">
        <v>22</v>
      </c>
      <c r="B14" s="9"/>
      <c r="C14" s="16">
        <v>398000</v>
      </c>
      <c r="D14" s="16">
        <v>418000</v>
      </c>
      <c r="E14" s="16">
        <v>430000</v>
      </c>
      <c r="F14" s="17">
        <v>449000</v>
      </c>
    </row>
    <row r="15" spans="1:6" ht="12.75">
      <c r="A15" s="8" t="s">
        <v>23</v>
      </c>
      <c r="B15" s="9"/>
      <c r="C15" s="16"/>
      <c r="D15" s="16"/>
      <c r="E15" s="16"/>
      <c r="F15" s="17"/>
    </row>
    <row r="16" spans="1:6" ht="12.75">
      <c r="A16" s="8" t="s">
        <v>24</v>
      </c>
      <c r="B16" s="9"/>
      <c r="C16" s="16">
        <v>351000</v>
      </c>
      <c r="D16" s="16">
        <v>370000</v>
      </c>
      <c r="E16" s="16">
        <v>390000</v>
      </c>
      <c r="F16" s="17">
        <v>411000</v>
      </c>
    </row>
    <row r="17" spans="1:6" ht="12.75">
      <c r="A17" s="8" t="s">
        <v>25</v>
      </c>
      <c r="B17" s="9"/>
      <c r="C17" s="16">
        <v>454000</v>
      </c>
      <c r="D17" s="16">
        <v>459000</v>
      </c>
      <c r="E17" s="16">
        <v>506000</v>
      </c>
      <c r="F17" s="17">
        <v>542000</v>
      </c>
    </row>
    <row r="18" spans="1:7" ht="12.75">
      <c r="A18" s="8" t="s">
        <v>26</v>
      </c>
      <c r="B18" s="9"/>
      <c r="C18" s="16">
        <v>354000</v>
      </c>
      <c r="D18" s="16">
        <v>356000</v>
      </c>
      <c r="E18" s="16">
        <v>392000</v>
      </c>
      <c r="F18" s="17">
        <v>417000</v>
      </c>
      <c r="G18" s="3"/>
    </row>
    <row r="19" spans="1:6" ht="15">
      <c r="A19" s="8" t="s">
        <v>45</v>
      </c>
      <c r="B19" s="9"/>
      <c r="C19" s="24">
        <v>1359424</v>
      </c>
      <c r="D19" s="24">
        <v>1383635</v>
      </c>
      <c r="E19" s="24">
        <v>1397435</v>
      </c>
      <c r="F19" s="25">
        <v>1415835</v>
      </c>
    </row>
    <row r="20" spans="1:6" ht="12.75">
      <c r="A20" s="28" t="s">
        <v>27</v>
      </c>
      <c r="B20" s="9"/>
      <c r="C20" s="16">
        <f>SUM(C8:C19)</f>
        <v>21821597</v>
      </c>
      <c r="D20" s="16">
        <f>SUM(D8:D19)</f>
        <v>21790817</v>
      </c>
      <c r="E20" s="16">
        <f>SUM(E8:E19)</f>
        <v>22815588</v>
      </c>
      <c r="F20" s="17">
        <f>SUM(F8:F19)</f>
        <v>23781825</v>
      </c>
    </row>
    <row r="21" spans="1:6" ht="12.75" customHeight="1">
      <c r="A21" s="8"/>
      <c r="B21" s="9"/>
      <c r="C21" s="16"/>
      <c r="D21" s="16"/>
      <c r="E21" s="16"/>
      <c r="F21" s="17"/>
    </row>
    <row r="22" spans="1:6" ht="12.75">
      <c r="A22" s="8" t="s">
        <v>5</v>
      </c>
      <c r="B22" s="9"/>
      <c r="C22" s="16">
        <v>-103000</v>
      </c>
      <c r="D22" s="16">
        <v>-469000</v>
      </c>
      <c r="E22" s="16">
        <v>-597000</v>
      </c>
      <c r="F22" s="17">
        <v>-846000</v>
      </c>
    </row>
    <row r="23" spans="1:6" ht="12.75">
      <c r="A23" s="8"/>
      <c r="B23" s="9"/>
      <c r="C23" s="16"/>
      <c r="D23" s="16"/>
      <c r="E23" s="16"/>
      <c r="F23" s="17"/>
    </row>
    <row r="24" spans="1:6" ht="12.75">
      <c r="A24" s="8" t="s">
        <v>6</v>
      </c>
      <c r="B24" s="9"/>
      <c r="C24" s="16">
        <v>489900</v>
      </c>
      <c r="D24" s="16">
        <v>701000</v>
      </c>
      <c r="E24" s="16">
        <v>726000</v>
      </c>
      <c r="F24" s="17">
        <v>750000</v>
      </c>
    </row>
    <row r="25" spans="1:6" ht="12.75">
      <c r="A25" s="8"/>
      <c r="B25" s="9"/>
      <c r="C25" s="16"/>
      <c r="D25" s="16"/>
      <c r="E25" s="16"/>
      <c r="F25" s="17"/>
    </row>
    <row r="26" spans="1:6" ht="12.75">
      <c r="A26" s="8" t="s">
        <v>39</v>
      </c>
      <c r="B26" s="9"/>
      <c r="C26" s="16"/>
      <c r="D26" s="16"/>
      <c r="E26" s="16"/>
      <c r="F26" s="17"/>
    </row>
    <row r="27" spans="1:6" ht="12.75">
      <c r="A27" s="8" t="s">
        <v>40</v>
      </c>
      <c r="B27" s="9"/>
      <c r="C27" s="16">
        <v>3161487</v>
      </c>
      <c r="D27" s="16">
        <v>2979006</v>
      </c>
      <c r="E27" s="16">
        <v>2779930</v>
      </c>
      <c r="F27" s="17">
        <v>2686810</v>
      </c>
    </row>
    <row r="28" spans="1:6" ht="12.75">
      <c r="A28" s="8" t="s">
        <v>41</v>
      </c>
      <c r="B28" s="9"/>
      <c r="C28" s="16">
        <v>564323</v>
      </c>
      <c r="D28" s="16">
        <v>564323</v>
      </c>
      <c r="E28" s="16">
        <v>564323</v>
      </c>
      <c r="F28" s="17">
        <v>564323</v>
      </c>
    </row>
    <row r="29" spans="1:6" ht="12.75">
      <c r="A29" s="8" t="s">
        <v>42</v>
      </c>
      <c r="B29" s="9"/>
      <c r="C29" s="16">
        <v>364610</v>
      </c>
      <c r="D29" s="16">
        <v>361220</v>
      </c>
      <c r="E29" s="16">
        <v>352037</v>
      </c>
      <c r="F29" s="17">
        <v>345502</v>
      </c>
    </row>
    <row r="30" spans="1:6" ht="12.75">
      <c r="A30" s="8" t="s">
        <v>43</v>
      </c>
      <c r="B30" s="9"/>
      <c r="C30" s="16">
        <v>290632</v>
      </c>
      <c r="D30" s="16">
        <v>284473</v>
      </c>
      <c r="E30" s="16">
        <v>284473</v>
      </c>
      <c r="F30" s="17">
        <v>284473</v>
      </c>
    </row>
    <row r="31" spans="1:6" ht="12.75">
      <c r="A31" s="8" t="s">
        <v>44</v>
      </c>
      <c r="B31" s="9"/>
      <c r="C31" s="16">
        <v>-15000</v>
      </c>
      <c r="D31" s="16">
        <v>-15000</v>
      </c>
      <c r="E31" s="16">
        <v>-15000</v>
      </c>
      <c r="F31" s="17">
        <v>-15000</v>
      </c>
    </row>
    <row r="32" spans="1:6" ht="12.75" customHeight="1">
      <c r="A32" s="8"/>
      <c r="B32" s="9"/>
      <c r="C32" s="16"/>
      <c r="D32" s="16"/>
      <c r="E32" s="16"/>
      <c r="F32" s="17"/>
    </row>
    <row r="33" spans="1:6" ht="12.75">
      <c r="A33" s="8" t="s">
        <v>7</v>
      </c>
      <c r="B33" s="9"/>
      <c r="C33" s="16">
        <v>7582217</v>
      </c>
      <c r="D33" s="16">
        <v>7635803</v>
      </c>
      <c r="E33" s="16">
        <v>7683212</v>
      </c>
      <c r="F33" s="17">
        <v>7702558</v>
      </c>
    </row>
    <row r="34" spans="1:6" ht="15">
      <c r="A34" s="8" t="s">
        <v>8</v>
      </c>
      <c r="B34" s="9"/>
      <c r="C34" s="24">
        <v>4369027</v>
      </c>
      <c r="D34" s="24">
        <v>3852516</v>
      </c>
      <c r="E34" s="24">
        <v>3795188</v>
      </c>
      <c r="F34" s="25">
        <v>3782383</v>
      </c>
    </row>
    <row r="35" spans="1:6" ht="12.75" customHeight="1">
      <c r="A35" s="8"/>
      <c r="B35" s="9"/>
      <c r="C35" s="24"/>
      <c r="D35" s="24"/>
      <c r="E35" s="24"/>
      <c r="F35" s="25"/>
    </row>
    <row r="36" spans="1:6" ht="12.75">
      <c r="A36" s="18" t="s">
        <v>60</v>
      </c>
      <c r="B36" s="9"/>
      <c r="C36" s="26">
        <f>SUM(C20:C34)</f>
        <v>38525793</v>
      </c>
      <c r="D36" s="26">
        <f>SUM(D20:D34)</f>
        <v>37685158</v>
      </c>
      <c r="E36" s="26">
        <f>SUM(E20:E34)</f>
        <v>38388751</v>
      </c>
      <c r="F36" s="27">
        <f>SUM(F20:F34)</f>
        <v>39036874</v>
      </c>
    </row>
    <row r="37" spans="1:6" ht="12.75">
      <c r="A37" s="8"/>
      <c r="B37" s="9"/>
      <c r="C37" s="9"/>
      <c r="D37" s="9"/>
      <c r="E37" s="9"/>
      <c r="F37" s="10"/>
    </row>
    <row r="38" spans="1:6" ht="12.75">
      <c r="A38" s="13" t="s">
        <v>9</v>
      </c>
      <c r="B38" s="9"/>
      <c r="C38" s="9"/>
      <c r="D38" s="9"/>
      <c r="E38" s="9"/>
      <c r="F38" s="10"/>
    </row>
    <row r="39" spans="1:6" ht="12.75">
      <c r="A39" s="8" t="s">
        <v>10</v>
      </c>
      <c r="B39" s="9"/>
      <c r="C39" s="16"/>
      <c r="D39" s="16"/>
      <c r="E39" s="16"/>
      <c r="F39" s="17"/>
    </row>
    <row r="40" spans="1:6" ht="12.75">
      <c r="A40" s="8" t="s">
        <v>49</v>
      </c>
      <c r="B40" s="9"/>
      <c r="C40" s="14">
        <f>5481733-75</f>
        <v>5481658</v>
      </c>
      <c r="D40" s="14">
        <f>5533169-75</f>
        <v>5533094</v>
      </c>
      <c r="E40" s="14">
        <f>5637372-75</f>
        <v>5637297</v>
      </c>
      <c r="F40" s="15">
        <f>5820558-75</f>
        <v>5820483</v>
      </c>
    </row>
    <row r="41" spans="1:6" ht="12.75">
      <c r="A41" s="8" t="s">
        <v>50</v>
      </c>
      <c r="B41" s="9"/>
      <c r="C41" s="16">
        <f>2218328-137</f>
        <v>2218191</v>
      </c>
      <c r="D41" s="16">
        <f>2177056-137</f>
        <v>2176919</v>
      </c>
      <c r="E41" s="16">
        <f>2202834-137</f>
        <v>2202697</v>
      </c>
      <c r="F41" s="17">
        <f>2204359-137</f>
        <v>2204222</v>
      </c>
    </row>
    <row r="42" spans="1:6" ht="12.75">
      <c r="A42" s="8" t="s">
        <v>51</v>
      </c>
      <c r="B42" s="9"/>
      <c r="C42" s="16">
        <f>886082-2438+584598-299132</f>
        <v>1169110</v>
      </c>
      <c r="D42" s="16">
        <f>832712-1325+584682-345477</f>
        <v>1070592</v>
      </c>
      <c r="E42" s="16">
        <f>833094-1325+584668-345477</f>
        <v>1070960</v>
      </c>
      <c r="F42" s="17">
        <f>833420-1325+584668-345477</f>
        <v>1071286</v>
      </c>
    </row>
    <row r="43" spans="1:6" ht="12.75">
      <c r="A43" s="8" t="s">
        <v>52</v>
      </c>
      <c r="B43" s="9"/>
      <c r="C43" s="16">
        <f>792064-77051</f>
        <v>715013</v>
      </c>
      <c r="D43" s="16">
        <f>799478-64126</f>
        <v>735352</v>
      </c>
      <c r="E43" s="16">
        <f>819324-64126</f>
        <v>755198</v>
      </c>
      <c r="F43" s="17">
        <f>840787-64126</f>
        <v>776661</v>
      </c>
    </row>
    <row r="44" spans="1:6" ht="12.75">
      <c r="A44" s="8" t="s">
        <v>53</v>
      </c>
      <c r="B44" s="9"/>
      <c r="C44" s="16">
        <v>460014</v>
      </c>
      <c r="D44" s="16">
        <v>456100</v>
      </c>
      <c r="E44" s="16">
        <v>456896</v>
      </c>
      <c r="F44" s="17">
        <v>456896</v>
      </c>
    </row>
    <row r="45" spans="1:6" ht="12.75">
      <c r="A45" s="18"/>
      <c r="B45" s="9"/>
      <c r="C45" s="16"/>
      <c r="D45" s="16"/>
      <c r="E45" s="16"/>
      <c r="F45" s="17"/>
    </row>
    <row r="46" spans="1:6" ht="12.75">
      <c r="A46" s="8" t="s">
        <v>11</v>
      </c>
      <c r="B46" s="9"/>
      <c r="C46" s="16"/>
      <c r="D46" s="16"/>
      <c r="E46" s="16"/>
      <c r="F46" s="17"/>
    </row>
    <row r="47" spans="1:6" ht="12.75">
      <c r="A47" s="8" t="s">
        <v>54</v>
      </c>
      <c r="B47" s="9"/>
      <c r="C47" s="16">
        <f>10961018-7407</f>
        <v>10953611</v>
      </c>
      <c r="D47" s="16">
        <f>11036845-7407</f>
        <v>11029438</v>
      </c>
      <c r="E47" s="16">
        <f>11132410-7407</f>
        <v>11125003</v>
      </c>
      <c r="F47" s="17">
        <f>11197059-7407</f>
        <v>11189652</v>
      </c>
    </row>
    <row r="48" spans="1:6" ht="12.75">
      <c r="A48" s="8" t="s">
        <v>55</v>
      </c>
      <c r="B48" s="9"/>
      <c r="C48" s="16">
        <f>436732-11726</f>
        <v>425006</v>
      </c>
      <c r="D48" s="16">
        <f>435239-9861</f>
        <v>425378</v>
      </c>
      <c r="E48" s="16">
        <f>435358-9861</f>
        <v>425497</v>
      </c>
      <c r="F48" s="17">
        <f>435358-9861</f>
        <v>425497</v>
      </c>
    </row>
    <row r="49" spans="1:6" ht="12.75" customHeight="1">
      <c r="A49" s="8"/>
      <c r="B49" s="9"/>
      <c r="C49" s="16"/>
      <c r="D49" s="16"/>
      <c r="E49" s="16"/>
      <c r="F49" s="17"/>
    </row>
    <row r="50" spans="1:6" ht="12.75">
      <c r="A50" s="8" t="s">
        <v>12</v>
      </c>
      <c r="B50" s="9"/>
      <c r="C50" s="16"/>
      <c r="D50" s="16"/>
      <c r="E50" s="16"/>
      <c r="F50" s="17"/>
    </row>
    <row r="51" spans="1:6" ht="12.75">
      <c r="A51" s="8" t="s">
        <v>56</v>
      </c>
      <c r="B51" s="9"/>
      <c r="C51" s="16">
        <f>3315631-88796</f>
        <v>3226835</v>
      </c>
      <c r="D51" s="16">
        <f>3116875-88785</f>
        <v>3028090</v>
      </c>
      <c r="E51" s="16">
        <f>3101129-44437</f>
        <v>3056692</v>
      </c>
      <c r="F51" s="17">
        <f>3077117-88</f>
        <v>3077029</v>
      </c>
    </row>
    <row r="52" spans="1:6" ht="12.75">
      <c r="A52" s="8" t="s">
        <v>57</v>
      </c>
      <c r="B52" s="9"/>
      <c r="C52" s="16">
        <v>1063974</v>
      </c>
      <c r="D52" s="16">
        <v>1066194</v>
      </c>
      <c r="E52" s="16">
        <v>1065990</v>
      </c>
      <c r="F52" s="17">
        <v>1065990</v>
      </c>
    </row>
    <row r="53" spans="1:6" ht="12.75">
      <c r="A53" s="8" t="s">
        <v>58</v>
      </c>
      <c r="B53" s="9"/>
      <c r="C53" s="16">
        <f>846199-755</f>
        <v>845444</v>
      </c>
      <c r="D53" s="16">
        <f>893056-755</f>
        <v>892301</v>
      </c>
      <c r="E53" s="16">
        <f>892814-755</f>
        <v>892059</v>
      </c>
      <c r="F53" s="17">
        <f>892832-755</f>
        <v>892077</v>
      </c>
    </row>
    <row r="54" spans="1:6" ht="12.75">
      <c r="A54" s="8" t="s">
        <v>59</v>
      </c>
      <c r="B54" s="9"/>
      <c r="C54" s="16">
        <f>960995-6510</f>
        <v>954485</v>
      </c>
      <c r="D54" s="16">
        <f>991509-6510</f>
        <v>984999</v>
      </c>
      <c r="E54" s="16">
        <f>1011583-6510</f>
        <v>1005073</v>
      </c>
      <c r="F54" s="17">
        <f>1011341-6510</f>
        <v>1004831</v>
      </c>
    </row>
    <row r="55" spans="1:6" ht="12.75">
      <c r="A55" s="8"/>
      <c r="B55" s="9"/>
      <c r="C55" s="16"/>
      <c r="D55" s="16"/>
      <c r="E55" s="16"/>
      <c r="F55" s="17"/>
    </row>
    <row r="56" spans="1:6" ht="12.75">
      <c r="A56" s="8" t="s">
        <v>13</v>
      </c>
      <c r="B56" s="9"/>
      <c r="C56" s="16">
        <v>1670662</v>
      </c>
      <c r="D56" s="16">
        <f>2305637+487900</f>
        <v>2793537</v>
      </c>
      <c r="E56" s="16">
        <f>2923170+490300</f>
        <v>3413470</v>
      </c>
      <c r="F56" s="17">
        <f>3373972+489200</f>
        <v>3863172</v>
      </c>
    </row>
    <row r="57" spans="1:6" ht="12.75" customHeight="1">
      <c r="A57" s="8"/>
      <c r="B57" s="9"/>
      <c r="C57" s="16"/>
      <c r="D57" s="16"/>
      <c r="E57" s="16"/>
      <c r="F57" s="17"/>
    </row>
    <row r="58" spans="1:6" ht="12.75">
      <c r="A58" s="8" t="s">
        <v>14</v>
      </c>
      <c r="B58" s="9"/>
      <c r="C58" s="16">
        <v>145338</v>
      </c>
      <c r="D58" s="16">
        <v>549396</v>
      </c>
      <c r="E58" s="16">
        <v>581086</v>
      </c>
      <c r="F58" s="17">
        <v>557192</v>
      </c>
    </row>
    <row r="59" spans="1:6" ht="12.75">
      <c r="A59" s="8"/>
      <c r="B59" s="9"/>
      <c r="C59" s="16"/>
      <c r="D59" s="16"/>
      <c r="E59" s="16"/>
      <c r="F59" s="17"/>
    </row>
    <row r="60" spans="1:6" ht="15">
      <c r="A60" s="8" t="s">
        <v>15</v>
      </c>
      <c r="B60" s="9"/>
      <c r="C60" s="24">
        <v>9196452</v>
      </c>
      <c r="D60" s="24">
        <v>9407991</v>
      </c>
      <c r="E60" s="24">
        <v>9716636</v>
      </c>
      <c r="F60" s="25">
        <v>9664601</v>
      </c>
    </row>
    <row r="61" spans="1:6" ht="12.75" customHeight="1">
      <c r="A61" s="8"/>
      <c r="B61" s="9"/>
      <c r="C61" s="16"/>
      <c r="D61" s="16"/>
      <c r="E61" s="16"/>
      <c r="F61" s="17"/>
    </row>
    <row r="62" spans="1:6" ht="15">
      <c r="A62" s="18" t="s">
        <v>62</v>
      </c>
      <c r="B62" s="9"/>
      <c r="C62" s="29">
        <f>SUM(C40:C60)</f>
        <v>38525793</v>
      </c>
      <c r="D62" s="29">
        <f>SUM(D40:D60)</f>
        <v>40149381</v>
      </c>
      <c r="E62" s="29">
        <f>SUM(E40:E60)</f>
        <v>41404554</v>
      </c>
      <c r="F62" s="30">
        <f>SUM(F40:F60)</f>
        <v>42069589</v>
      </c>
    </row>
    <row r="63" spans="1:6" ht="12.75">
      <c r="A63" s="8"/>
      <c r="B63" s="9"/>
      <c r="C63" s="9"/>
      <c r="D63" s="9"/>
      <c r="E63" s="9"/>
      <c r="F63" s="10"/>
    </row>
    <row r="64" spans="1:6" ht="12.75">
      <c r="A64" s="8"/>
      <c r="B64" s="9"/>
      <c r="C64" s="9"/>
      <c r="D64" s="9"/>
      <c r="E64" s="9"/>
      <c r="F64" s="10"/>
    </row>
    <row r="65" spans="1:6" ht="15">
      <c r="A65" s="18" t="s">
        <v>61</v>
      </c>
      <c r="B65" s="9"/>
      <c r="C65" s="37">
        <f>(C36-C62)</f>
        <v>0</v>
      </c>
      <c r="D65" s="37">
        <f>(D36-D62)</f>
        <v>-2464223</v>
      </c>
      <c r="E65" s="37">
        <f>(E36-E62)</f>
        <v>-3015803</v>
      </c>
      <c r="F65" s="39">
        <f>(F36-F62)</f>
        <v>-3032715</v>
      </c>
    </row>
    <row r="66" spans="1:6" ht="12.75">
      <c r="A66" s="8"/>
      <c r="B66" s="9"/>
      <c r="C66" s="9"/>
      <c r="D66" s="9"/>
      <c r="E66" s="9"/>
      <c r="F66" s="10"/>
    </row>
    <row r="67" spans="1:6" ht="12.75">
      <c r="A67" s="23"/>
      <c r="B67" s="4"/>
      <c r="C67" s="31"/>
      <c r="D67" s="31"/>
      <c r="E67" s="31"/>
      <c r="F67" s="32"/>
    </row>
    <row r="68" spans="1:6" ht="12.75">
      <c r="A68" s="8"/>
      <c r="B68" s="9"/>
      <c r="C68" s="9"/>
      <c r="D68" s="9"/>
      <c r="E68" s="9"/>
      <c r="F68" s="10"/>
    </row>
    <row r="69" spans="1:6" ht="12.75">
      <c r="A69" s="8" t="s">
        <v>63</v>
      </c>
      <c r="B69" s="9"/>
      <c r="C69" s="9"/>
      <c r="D69" s="9"/>
      <c r="E69" s="9"/>
      <c r="F69" s="10"/>
    </row>
    <row r="70" spans="1:6" ht="12.75">
      <c r="A70" s="8" t="s">
        <v>64</v>
      </c>
      <c r="B70" s="9"/>
      <c r="C70" s="9"/>
      <c r="D70" s="9"/>
      <c r="E70" s="9"/>
      <c r="F70" s="10"/>
    </row>
    <row r="71" spans="1:6" ht="13.5" thickBot="1">
      <c r="A71" s="20" t="s">
        <v>65</v>
      </c>
      <c r="B71" s="21"/>
      <c r="C71" s="21"/>
      <c r="D71" s="21"/>
      <c r="E71" s="21"/>
      <c r="F71" s="22"/>
    </row>
  </sheetData>
  <mergeCells count="1">
    <mergeCell ref="D4:F4"/>
  </mergeCells>
  <printOptions/>
  <pageMargins left="0.75" right="0.75" top="1" bottom="1" header="0.5" footer="0.5"/>
  <pageSetup fitToHeight="1" fitToWidth="1" horizontalDpi="300" verticalDpi="300" orientation="portrait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Independent Budget Office</dc:creator>
  <cp:keywords/>
  <dc:description/>
  <cp:lastModifiedBy>Michael</cp:lastModifiedBy>
  <cp:lastPrinted>2000-12-15T17:20:58Z</cp:lastPrinted>
  <dcterms:created xsi:type="dcterms:W3CDTF">2000-11-14T13:32:25Z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